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stockoptionsolutions-my.sharepoint.com/personal/jsaig_sos-team_com/Documents/Documents/Marketing/Content/Long Form Content/Published/Turnover Calculator/"/>
    </mc:Choice>
  </mc:AlternateContent>
  <xr:revisionPtr revIDLastSave="0" documentId="8_{4750AC65-B39F-4444-A13D-1FBAB990E69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st of Turnover" sheetId="3" r:id="rId1"/>
    <sheet name="Menu List" sheetId="5" state="hidden" r:id="rId2"/>
  </sheets>
  <definedNames>
    <definedName name="YesNo">'Menu List'!$D$3:$D$4</definedName>
    <definedName name="YN">'Menu List'!$D$3:$D$4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4" i="3" l="1"/>
  <c r="I82" i="3"/>
  <c r="I74" i="3"/>
  <c r="I65" i="3"/>
  <c r="I55" i="3"/>
  <c r="K14" i="3"/>
  <c r="K13" i="3"/>
  <c r="G20" i="3"/>
  <c r="I20" i="3" s="1"/>
  <c r="J20" i="3" s="1"/>
  <c r="K20" i="3" s="1"/>
  <c r="B4" i="5" s="1"/>
  <c r="G21" i="3"/>
  <c r="I21" i="3" s="1"/>
  <c r="J21" i="3" s="1"/>
  <c r="K21" i="3" s="1"/>
  <c r="B5" i="5" s="1"/>
  <c r="G19" i="3"/>
  <c r="I19" i="3" s="1"/>
  <c r="J19" i="3" s="1"/>
  <c r="K19" i="3" s="1"/>
  <c r="B3" i="5" s="1"/>
  <c r="J13" i="3"/>
  <c r="J42" i="3" s="1"/>
  <c r="K42" i="3" s="1"/>
  <c r="J14" i="3"/>
  <c r="J46" i="3" s="1"/>
  <c r="K46" i="3" s="1"/>
  <c r="I47" i="3"/>
  <c r="K53" i="3"/>
  <c r="I35" i="3"/>
  <c r="I57" i="3" l="1"/>
  <c r="J61" i="3" l="1"/>
  <c r="K61" i="3" s="1"/>
  <c r="J77" i="3"/>
  <c r="K77" i="3" s="1"/>
  <c r="J54" i="3"/>
  <c r="K54" i="3" s="1"/>
  <c r="J70" i="3"/>
  <c r="K70" i="3" s="1"/>
  <c r="J69" i="3"/>
  <c r="K69" i="3" s="1"/>
  <c r="J68" i="3"/>
  <c r="K68" i="3" s="1"/>
  <c r="J62" i="3" l="1"/>
  <c r="K62" i="3" s="1"/>
  <c r="J41" i="3"/>
  <c r="K41" i="3" s="1"/>
  <c r="J72" i="3"/>
  <c r="K72" i="3" s="1"/>
  <c r="J40" i="3"/>
  <c r="K40" i="3" s="1"/>
  <c r="J39" i="3"/>
  <c r="K39" i="3" s="1"/>
  <c r="J78" i="3"/>
  <c r="K78" i="3" s="1"/>
  <c r="J80" i="3"/>
  <c r="K80" i="3" s="1"/>
  <c r="J34" i="3"/>
  <c r="K34" i="3" s="1"/>
  <c r="K35" i="3" s="1"/>
  <c r="J44" i="3"/>
  <c r="K44" i="3" s="1"/>
  <c r="J63" i="3"/>
  <c r="K63" i="3" s="1"/>
  <c r="J79" i="3"/>
  <c r="K79" i="3" s="1"/>
  <c r="J45" i="3"/>
  <c r="K45" i="3" s="1"/>
  <c r="J73" i="3"/>
  <c r="K73" i="3" s="1"/>
  <c r="J71" i="3"/>
  <c r="K71" i="3" s="1"/>
  <c r="J64" i="3"/>
  <c r="K64" i="3" s="1"/>
  <c r="J81" i="3"/>
  <c r="K81" i="3" s="1"/>
  <c r="J52" i="3"/>
  <c r="K52" i="3" s="1"/>
  <c r="J38" i="3"/>
  <c r="K38" i="3" s="1"/>
  <c r="J51" i="3"/>
  <c r="K51" i="3" s="1"/>
  <c r="J43" i="3"/>
  <c r="K43" i="3" s="1"/>
  <c r="K65" i="3" l="1"/>
  <c r="K47" i="3"/>
  <c r="K55" i="3"/>
  <c r="K82" i="3"/>
  <c r="K74" i="3"/>
  <c r="J35" i="3"/>
  <c r="K57" i="3" l="1"/>
  <c r="J25" i="3" s="1"/>
  <c r="K84" i="3"/>
  <c r="J26" i="3" s="1"/>
  <c r="J27" i="3" l="1"/>
</calcChain>
</file>

<file path=xl/sharedStrings.xml><?xml version="1.0" encoding="utf-8"?>
<sst xmlns="http://schemas.openxmlformats.org/spreadsheetml/2006/main" count="118" uniqueCount="80">
  <si>
    <t>Turnover Cost Calculator</t>
  </si>
  <si>
    <t>Stock Plan Administrator</t>
  </si>
  <si>
    <t>Instructions: Input the data in the yellow cells to calculate your estimated cost of turnover</t>
  </si>
  <si>
    <t>Salary Inputs</t>
  </si>
  <si>
    <t>$</t>
  </si>
  <si>
    <r>
      <t xml:space="preserve">What is the annual salary you expect to pay your </t>
    </r>
    <r>
      <rPr>
        <b/>
        <i/>
        <sz val="9"/>
        <rFont val="Arial"/>
        <family val="2"/>
      </rPr>
      <t>Stock Plan Adminstrator</t>
    </r>
    <r>
      <rPr>
        <i/>
        <sz val="9"/>
        <rFont val="Arial"/>
        <family val="2"/>
      </rPr>
      <t>?</t>
    </r>
  </si>
  <si>
    <r>
      <t xml:space="preserve">What is the </t>
    </r>
    <r>
      <rPr>
        <b/>
        <i/>
        <sz val="9"/>
        <rFont val="Arial"/>
        <family val="2"/>
      </rPr>
      <t>hiring manager's</t>
    </r>
    <r>
      <rPr>
        <i/>
        <sz val="9"/>
        <rFont val="Arial"/>
        <family val="2"/>
      </rPr>
      <t xml:space="preserve"> salary?</t>
    </r>
  </si>
  <si>
    <r>
      <t xml:space="preserve">What is the average salary of any </t>
    </r>
    <r>
      <rPr>
        <b/>
        <i/>
        <sz val="9"/>
        <rFont val="Arial"/>
        <family val="2"/>
      </rPr>
      <t>support staff</t>
    </r>
    <r>
      <rPr>
        <i/>
        <sz val="9"/>
        <rFont val="Arial"/>
        <family val="2"/>
      </rPr>
      <t xml:space="preserve"> used in the hiring process?</t>
    </r>
  </si>
  <si>
    <t>Fee Inputs</t>
  </si>
  <si>
    <t>Y / N</t>
  </si>
  <si>
    <r>
      <t xml:space="preserve">Do you plan to use a </t>
    </r>
    <r>
      <rPr>
        <b/>
        <i/>
        <sz val="9"/>
        <rFont val="Arial"/>
        <family val="2"/>
      </rPr>
      <t>hiring search firm</t>
    </r>
    <r>
      <rPr>
        <i/>
        <sz val="9"/>
        <rFont val="Arial"/>
        <family val="2"/>
      </rPr>
      <t>?</t>
    </r>
  </si>
  <si>
    <t>Y</t>
  </si>
  <si>
    <r>
      <t>Do you plan to use</t>
    </r>
    <r>
      <rPr>
        <b/>
        <i/>
        <sz val="9"/>
        <rFont val="Arial"/>
        <family val="2"/>
      </rPr>
      <t xml:space="preserve"> paid advertisement</t>
    </r>
    <r>
      <rPr>
        <i/>
        <sz val="9"/>
        <rFont val="Arial"/>
        <family val="2"/>
      </rPr>
      <t xml:space="preserve"> for the job posting?</t>
    </r>
  </si>
  <si>
    <t>Compensation Summary</t>
  </si>
  <si>
    <t>Job Role</t>
  </si>
  <si>
    <t>Annual Salary</t>
  </si>
  <si>
    <t>% Bonus (Estimated)</t>
  </si>
  <si>
    <t>$ Bonus</t>
  </si>
  <si>
    <t>$ Total Compensation</t>
  </si>
  <si>
    <t>Hourly Rate</t>
  </si>
  <si>
    <t>Hiring Manager</t>
  </si>
  <si>
    <t>Support Staff (Average)</t>
  </si>
  <si>
    <t>Summary - Cost of Turnover</t>
  </si>
  <si>
    <t>Hard Costs</t>
  </si>
  <si>
    <t>Soft Costs</t>
  </si>
  <si>
    <t>Total Cost of Turnover</t>
  </si>
  <si>
    <t>HARD COSTS:</t>
  </si>
  <si>
    <t>Hours</t>
  </si>
  <si>
    <t>Wages</t>
  </si>
  <si>
    <t>Total</t>
  </si>
  <si>
    <t>Pre-Departure</t>
  </si>
  <si>
    <t>Separation Processing</t>
  </si>
  <si>
    <t>Corporate Staff</t>
  </si>
  <si>
    <t>Administrative Time</t>
  </si>
  <si>
    <t>Total Separation Processing</t>
  </si>
  <si>
    <t>Vacancy Costs</t>
  </si>
  <si>
    <t>Supervisor</t>
  </si>
  <si>
    <t>Co-worker burden manager</t>
  </si>
  <si>
    <t>10 hours per week for 8 weeks</t>
  </si>
  <si>
    <t>Administrative time work burden</t>
  </si>
  <si>
    <t>Overtime: Added Shifts (1.5x Hourly)</t>
  </si>
  <si>
    <t>Internal Recruiter Time</t>
  </si>
  <si>
    <t>Hiring Search Firm or Temp Agency Fee (25% Salary)</t>
  </si>
  <si>
    <t>Developing Advertisement(s)</t>
  </si>
  <si>
    <t>Administrative time</t>
  </si>
  <si>
    <t>Placing Advertisements</t>
  </si>
  <si>
    <t>Cost of Advertising Space(s)</t>
  </si>
  <si>
    <t>Total Vacancy Costs</t>
  </si>
  <si>
    <t>Hiring &amp; On-Boarding</t>
  </si>
  <si>
    <t>Selection &amp; Sign-On</t>
  </si>
  <si>
    <t>Interviewing</t>
  </si>
  <si>
    <t>Reference Checking</t>
  </si>
  <si>
    <t>Drug Testing / Psychological Testing</t>
  </si>
  <si>
    <t>Orientation &amp; On-The-Job Training</t>
  </si>
  <si>
    <t>Total Selection &amp; Sign-On</t>
  </si>
  <si>
    <t>TOTAL "HARD COSTS" OF TURNOVER</t>
  </si>
  <si>
    <t>SOFT COSTS</t>
  </si>
  <si>
    <t>Loss of Productivity of departing employee</t>
  </si>
  <si>
    <t>Lost productivity of co-worker</t>
  </si>
  <si>
    <t>Increased workload for employees</t>
  </si>
  <si>
    <t>Lost productivity of supervisor</t>
  </si>
  <si>
    <t>Total Pre-Departure Costs</t>
  </si>
  <si>
    <t>During Vacancy</t>
  </si>
  <si>
    <t>Lost productivity of vacant position</t>
  </si>
  <si>
    <t>Overtime</t>
  </si>
  <si>
    <t>Added Shifts</t>
  </si>
  <si>
    <t>Lost Productivity of supervisor (time spent filling in)</t>
  </si>
  <si>
    <t>Recruiting administration</t>
  </si>
  <si>
    <t>Supervisor's time with schedule changes/overtime</t>
  </si>
  <si>
    <t>Total During Vacancy Costs</t>
  </si>
  <si>
    <t>Selection and Sign-On</t>
  </si>
  <si>
    <t>Lost productivity during training in year 1</t>
  </si>
  <si>
    <t>5 additional hours per week avg per year.</t>
  </si>
  <si>
    <t>Replacement requires support/direction</t>
  </si>
  <si>
    <t>Lost productivity of co-workers</t>
  </si>
  <si>
    <t>Exiting employees distracted</t>
  </si>
  <si>
    <t>Total Selection and Sign-On Costs</t>
  </si>
  <si>
    <t>TOTAL "SOFT COSTS" OF TURNOVER</t>
  </si>
  <si>
    <t>Estimated Hours based on US Dept. of Labor Cost-of-Turnover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</si>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</sst>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8"/>
      <name val="Arial"/>
      <family val="2"/>
    </font>
    <font>
      <u/>
      <sz val="18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4" fontId="0" fillId="0" borderId="0" xfId="0" applyNumberFormat="1"/>
    <xf numFmtId="0" fontId="5" fillId="0" borderId="0" xfId="0" applyFont="1"/>
    <xf numFmtId="0" fontId="6" fillId="0" borderId="0" xfId="0" applyFont="1"/>
    <xf numFmtId="164" fontId="5" fillId="0" borderId="0" xfId="1" applyNumberFormat="1" applyFont="1" applyFill="1"/>
    <xf numFmtId="9" fontId="5" fillId="0" borderId="0" xfId="0" applyNumberFormat="1" applyFont="1"/>
    <xf numFmtId="164" fontId="5" fillId="0" borderId="0" xfId="1" applyNumberFormat="1" applyFont="1"/>
    <xf numFmtId="44" fontId="5" fillId="0" borderId="0" xfId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0" applyNumberFormat="1" applyFont="1" applyAlignment="1">
      <alignment horizontal="center"/>
    </xf>
    <xf numFmtId="44" fontId="6" fillId="0" borderId="0" xfId="0" applyNumberFormat="1" applyFont="1" applyAlignment="1">
      <alignment horizontal="center"/>
    </xf>
    <xf numFmtId="44" fontId="5" fillId="0" borderId="0" xfId="0" applyNumberFormat="1" applyFont="1"/>
    <xf numFmtId="44" fontId="6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164" fontId="5" fillId="0" borderId="0" xfId="1" applyNumberFormat="1" applyFont="1" applyFill="1" applyAlignment="1">
      <alignment horizontal="center"/>
    </xf>
    <xf numFmtId="9" fontId="5" fillId="0" borderId="0" xfId="0" applyNumberFormat="1" applyFont="1" applyAlignment="1">
      <alignment horizontal="center"/>
    </xf>
    <xf numFmtId="0" fontId="6" fillId="3" borderId="0" xfId="0" applyFont="1" applyFill="1"/>
    <xf numFmtId="44" fontId="6" fillId="3" borderId="0" xfId="0" applyNumberFormat="1" applyFont="1" applyFill="1"/>
    <xf numFmtId="0" fontId="8" fillId="4" borderId="4" xfId="0" applyFont="1" applyFill="1" applyBorder="1"/>
    <xf numFmtId="0" fontId="8" fillId="4" borderId="0" xfId="0" applyFont="1" applyFill="1"/>
    <xf numFmtId="0" fontId="5" fillId="4" borderId="0" xfId="0" applyFont="1" applyFill="1"/>
    <xf numFmtId="0" fontId="4" fillId="4" borderId="6" xfId="0" applyFont="1" applyFill="1" applyBorder="1"/>
    <xf numFmtId="0" fontId="8" fillId="4" borderId="7" xfId="0" applyFont="1" applyFill="1" applyBorder="1"/>
    <xf numFmtId="0" fontId="5" fillId="4" borderId="7" xfId="0" applyFont="1" applyFill="1" applyBorder="1"/>
    <xf numFmtId="44" fontId="6" fillId="0" borderId="0" xfId="1" applyFont="1" applyFill="1"/>
    <xf numFmtId="0" fontId="6" fillId="4" borderId="0" xfId="0" applyFont="1" applyFill="1" applyAlignment="1">
      <alignment horizontal="center" wrapText="1"/>
    </xf>
    <xf numFmtId="0" fontId="6" fillId="4" borderId="0" xfId="0" applyFont="1" applyFill="1"/>
    <xf numFmtId="0" fontId="3" fillId="0" borderId="0" xfId="0" applyFont="1"/>
    <xf numFmtId="164" fontId="6" fillId="2" borderId="0" xfId="1" applyNumberFormat="1" applyFont="1" applyFill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center"/>
      <protection locked="0"/>
    </xf>
    <xf numFmtId="44" fontId="4" fillId="4" borderId="7" xfId="0" applyNumberFormat="1" applyFont="1" applyFill="1" applyBorder="1" applyAlignment="1">
      <alignment horizontal="center"/>
    </xf>
    <xf numFmtId="44" fontId="4" fillId="4" borderId="8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44" fontId="8" fillId="4" borderId="0" xfId="0" applyNumberFormat="1" applyFont="1" applyFill="1" applyAlignment="1">
      <alignment horizontal="center"/>
    </xf>
    <xf numFmtId="44" fontId="8" fillId="4" borderId="5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485775</xdr:colOff>
      <xdr:row>0</xdr:row>
      <xdr:rowOff>133351</xdr:rowOff>
    </xdr:from>
    <xdr:to>
      <xdr:col>10</xdr:col>
      <xdr:colOff>857250</xdr:colOff>
      <xdr:row>1</xdr:row>
      <xdr:rowOff>176159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3EBF95-3655-F059-2405-C48BAACA9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133351"/>
          <a:ext cx="2466975" cy="271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6"/>
  <sheetViews>
    <sheetView showGridLines="0" tabSelected="1" topLeftCell="B1" zoomScale="120" zoomScaleNormal="120" workbookViewId="0">
      <selection activeCell="I34" sqref="I34"/>
    </sheetView>
  </sheetViews>
  <sheetFormatPr defaultRowHeight="12" x14ac:dyDescent="0.2"/>
  <cols>
    <col min="1" max="1" width="22.140625" style="3" hidden="1" customWidth="1"/>
    <col min="2" max="2" width="2.28515625" style="3" customWidth="1"/>
    <col min="3" max="3" width="3.85546875" style="3" customWidth="1"/>
    <col min="4" max="4" width="4" style="3" customWidth="1"/>
    <col min="5" max="5" width="9.140625" style="3"/>
    <col min="6" max="6" width="11.28515625" style="3" bestFit="1" customWidth="1"/>
    <col min="7" max="11" width="15.7109375" style="3" customWidth="1"/>
    <col min="12" max="16384" width="9.140625" style="3"/>
  </cols>
  <sheetData>
    <row r="1" spans="3:11" ht="18" x14ac:dyDescent="0.25">
      <c r="C1" s="30" t="s">
        <v>0</v>
      </c>
    </row>
    <row r="2" spans="3:11" ht="18" x14ac:dyDescent="0.25">
      <c r="C2" s="30" t="s">
        <v>1</v>
      </c>
    </row>
    <row r="5" spans="3:11" x14ac:dyDescent="0.2">
      <c r="C5" s="16" t="s">
        <v>2</v>
      </c>
    </row>
    <row r="6" spans="3:11" x14ac:dyDescent="0.2">
      <c r="C6" s="16"/>
    </row>
    <row r="7" spans="3:11" x14ac:dyDescent="0.2">
      <c r="C7" s="16" t="s">
        <v>3</v>
      </c>
      <c r="I7" s="9" t="s">
        <v>4</v>
      </c>
    </row>
    <row r="8" spans="3:11" x14ac:dyDescent="0.2">
      <c r="C8" s="16" t="s">
        <v>5</v>
      </c>
      <c r="I8" s="31">
        <v>125000</v>
      </c>
    </row>
    <row r="9" spans="3:11" x14ac:dyDescent="0.2">
      <c r="C9" s="16" t="s">
        <v>6</v>
      </c>
      <c r="I9" s="31">
        <v>175000</v>
      </c>
    </row>
    <row r="10" spans="3:11" x14ac:dyDescent="0.2">
      <c r="C10" s="16" t="s">
        <v>7</v>
      </c>
      <c r="I10" s="31">
        <v>90000</v>
      </c>
    </row>
    <row r="11" spans="3:11" x14ac:dyDescent="0.2">
      <c r="C11" s="16"/>
    </row>
    <row r="12" spans="3:11" x14ac:dyDescent="0.2">
      <c r="C12" s="16" t="s">
        <v>8</v>
      </c>
      <c r="I12" s="9" t="s">
        <v>9</v>
      </c>
      <c r="J12" s="9" t="s">
        <v>4</v>
      </c>
    </row>
    <row r="13" spans="3:11" x14ac:dyDescent="0.2">
      <c r="C13" s="16" t="s">
        <v>10</v>
      </c>
      <c r="I13" s="32" t="s">
        <v>11</v>
      </c>
      <c r="J13" s="27">
        <f>IF(I13="N",0,I8*0.25)</f>
        <v>31250</v>
      </c>
      <c r="K13" s="15" t="str">
        <f>IF(I13="Y","*25% of salary","")</f>
        <v>*25% of salary</v>
      </c>
    </row>
    <row r="14" spans="3:11" x14ac:dyDescent="0.2">
      <c r="C14" s="16" t="s">
        <v>12</v>
      </c>
      <c r="I14" s="32" t="s">
        <v>11</v>
      </c>
      <c r="J14" s="27">
        <f>IF(I14="N",0,500)</f>
        <v>500</v>
      </c>
      <c r="K14" s="15" t="str">
        <f>IF(I14="Y","*estimated","")</f>
        <v>*estimated</v>
      </c>
    </row>
    <row r="15" spans="3:11" x14ac:dyDescent="0.2">
      <c r="C15" s="16"/>
    </row>
    <row r="16" spans="3:11" x14ac:dyDescent="0.2">
      <c r="C16" s="16"/>
    </row>
    <row r="17" spans="3:11" ht="18.75" customHeight="1" x14ac:dyDescent="0.2">
      <c r="C17" s="37" t="s">
        <v>13</v>
      </c>
      <c r="D17" s="37"/>
      <c r="E17" s="37"/>
      <c r="F17" s="37"/>
      <c r="G17" s="37"/>
      <c r="H17" s="37"/>
      <c r="I17" s="37"/>
      <c r="J17" s="37"/>
      <c r="K17" s="37"/>
    </row>
    <row r="18" spans="3:11" ht="24" x14ac:dyDescent="0.2">
      <c r="C18" s="29" t="s">
        <v>14</v>
      </c>
      <c r="D18" s="23"/>
      <c r="E18" s="23"/>
      <c r="F18" s="23"/>
      <c r="G18" s="28" t="s">
        <v>15</v>
      </c>
      <c r="H18" s="28" t="s">
        <v>16</v>
      </c>
      <c r="I18" s="28" t="s">
        <v>17</v>
      </c>
      <c r="J18" s="28" t="s">
        <v>18</v>
      </c>
      <c r="K18" s="28" t="s">
        <v>19</v>
      </c>
    </row>
    <row r="19" spans="3:11" x14ac:dyDescent="0.2">
      <c r="C19" s="3" t="s">
        <v>1</v>
      </c>
      <c r="G19" s="17">
        <f>I8</f>
        <v>125000</v>
      </c>
      <c r="H19" s="18">
        <v>0.15</v>
      </c>
      <c r="I19" s="7">
        <f>G19*H19</f>
        <v>18750</v>
      </c>
      <c r="J19" s="7">
        <f>G19+I19</f>
        <v>143750</v>
      </c>
      <c r="K19" s="8">
        <f>J19/2080</f>
        <v>69.11057692307692</v>
      </c>
    </row>
    <row r="20" spans="3:11" x14ac:dyDescent="0.2">
      <c r="C20" s="3" t="s">
        <v>20</v>
      </c>
      <c r="G20" s="17">
        <f>I9</f>
        <v>175000</v>
      </c>
      <c r="H20" s="18">
        <v>0.15</v>
      </c>
      <c r="I20" s="7">
        <f t="shared" ref="I20:I21" si="0">G20*H20</f>
        <v>26250</v>
      </c>
      <c r="J20" s="7">
        <f t="shared" ref="J20:J21" si="1">G20+I20</f>
        <v>201250</v>
      </c>
      <c r="K20" s="8">
        <f>J20/2080</f>
        <v>96.754807692307693</v>
      </c>
    </row>
    <row r="21" spans="3:11" x14ac:dyDescent="0.2">
      <c r="C21" s="3" t="s">
        <v>21</v>
      </c>
      <c r="G21" s="17">
        <f>I10</f>
        <v>90000</v>
      </c>
      <c r="H21" s="18">
        <v>0.15</v>
      </c>
      <c r="I21" s="7">
        <f t="shared" si="0"/>
        <v>13500</v>
      </c>
      <c r="J21" s="7">
        <f t="shared" si="1"/>
        <v>103500</v>
      </c>
      <c r="K21" s="8">
        <f>J21/2080</f>
        <v>49.759615384615387</v>
      </c>
    </row>
    <row r="22" spans="3:11" x14ac:dyDescent="0.2">
      <c r="G22" s="5"/>
      <c r="H22" s="6"/>
    </row>
    <row r="23" spans="3:11" x14ac:dyDescent="0.2">
      <c r="I23" s="10"/>
      <c r="J23" s="5"/>
      <c r="K23" s="15"/>
    </row>
    <row r="24" spans="3:11" ht="23.25" x14ac:dyDescent="0.35">
      <c r="C24" s="38" t="s">
        <v>22</v>
      </c>
      <c r="D24" s="39"/>
      <c r="E24" s="39"/>
      <c r="F24" s="39"/>
      <c r="G24" s="39"/>
      <c r="H24" s="39"/>
      <c r="I24" s="39"/>
      <c r="J24" s="39"/>
      <c r="K24" s="40"/>
    </row>
    <row r="25" spans="3:11" ht="23.25" x14ac:dyDescent="0.35">
      <c r="C25" s="21" t="s">
        <v>23</v>
      </c>
      <c r="D25" s="22"/>
      <c r="E25" s="23"/>
      <c r="F25" s="23"/>
      <c r="G25" s="23"/>
      <c r="H25" s="23"/>
      <c r="I25" s="23"/>
      <c r="J25" s="41">
        <f>K57</f>
        <v>59154.44711538461</v>
      </c>
      <c r="K25" s="42"/>
    </row>
    <row r="26" spans="3:11" ht="23.25" x14ac:dyDescent="0.35">
      <c r="C26" s="21" t="s">
        <v>24</v>
      </c>
      <c r="D26" s="22"/>
      <c r="E26" s="23"/>
      <c r="F26" s="23"/>
      <c r="G26" s="23"/>
      <c r="H26" s="23"/>
      <c r="I26" s="23"/>
      <c r="J26" s="41">
        <f>K84</f>
        <v>68281.25</v>
      </c>
      <c r="K26" s="42"/>
    </row>
    <row r="27" spans="3:11" ht="23.25" x14ac:dyDescent="0.35">
      <c r="C27" s="24" t="s">
        <v>25</v>
      </c>
      <c r="D27" s="25"/>
      <c r="E27" s="26"/>
      <c r="F27" s="26"/>
      <c r="G27" s="26"/>
      <c r="H27" s="26"/>
      <c r="I27" s="26"/>
      <c r="J27" s="35">
        <f>SUM(J25:J26)</f>
        <v>127435.69711538461</v>
      </c>
      <c r="K27" s="36"/>
    </row>
    <row r="28" spans="3:11" x14ac:dyDescent="0.2">
      <c r="I28" s="10"/>
      <c r="J28" s="5"/>
      <c r="K28" s="15"/>
    </row>
    <row r="29" spans="3:11" x14ac:dyDescent="0.2">
      <c r="J29" s="5"/>
    </row>
    <row r="31" spans="3:11" s="4" customFormat="1" x14ac:dyDescent="0.2">
      <c r="C31" s="4" t="s">
        <v>26</v>
      </c>
      <c r="I31" s="9" t="s">
        <v>27</v>
      </c>
      <c r="J31" s="9" t="s">
        <v>28</v>
      </c>
      <c r="K31" s="9" t="s">
        <v>29</v>
      </c>
    </row>
    <row r="32" spans="3:11" s="4" customFormat="1" x14ac:dyDescent="0.2">
      <c r="C32" s="4" t="s">
        <v>30</v>
      </c>
      <c r="I32" s="9"/>
      <c r="J32" s="9"/>
      <c r="K32" s="9"/>
    </row>
    <row r="33" spans="1:12" x14ac:dyDescent="0.2">
      <c r="D33" s="4" t="s">
        <v>31</v>
      </c>
      <c r="I33" s="10"/>
      <c r="J33" s="10"/>
      <c r="K33" s="10"/>
    </row>
    <row r="34" spans="1:12" x14ac:dyDescent="0.2">
      <c r="A34" s="3" t="s">
        <v>32</v>
      </c>
      <c r="E34" s="3" t="s">
        <v>33</v>
      </c>
      <c r="I34" s="34">
        <v>8</v>
      </c>
      <c r="J34" s="11">
        <f>VLOOKUP(A34,'Menu List'!$A$3:$B$5,2,0)</f>
        <v>49.759615384615387</v>
      </c>
      <c r="K34" s="11">
        <f>I34*J34</f>
        <v>398.07692307692309</v>
      </c>
    </row>
    <row r="35" spans="1:12" s="4" customFormat="1" x14ac:dyDescent="0.2">
      <c r="D35" s="4" t="s">
        <v>34</v>
      </c>
      <c r="I35" s="9">
        <f>SUM(I34)</f>
        <v>8</v>
      </c>
      <c r="J35" s="12">
        <f t="shared" ref="J35:K35" si="2">SUM(J34)</f>
        <v>49.759615384615387</v>
      </c>
      <c r="K35" s="12">
        <f t="shared" si="2"/>
        <v>398.07692307692309</v>
      </c>
    </row>
    <row r="36" spans="1:12" x14ac:dyDescent="0.2">
      <c r="H36" s="13"/>
      <c r="I36" s="11"/>
      <c r="J36" s="10"/>
      <c r="K36" s="10"/>
    </row>
    <row r="37" spans="1:12" x14ac:dyDescent="0.2">
      <c r="D37" s="4" t="s">
        <v>35</v>
      </c>
      <c r="I37" s="10"/>
      <c r="J37" s="10"/>
      <c r="K37" s="10"/>
    </row>
    <row r="38" spans="1:12" x14ac:dyDescent="0.2">
      <c r="A38" s="3" t="s">
        <v>36</v>
      </c>
      <c r="E38" s="3" t="s">
        <v>37</v>
      </c>
      <c r="I38" s="34">
        <v>80</v>
      </c>
      <c r="J38" s="11">
        <f>VLOOKUP(A38,'Menu List'!$A$3:$B$5,2,0)</f>
        <v>96.754807692307693</v>
      </c>
      <c r="K38" s="11">
        <f t="shared" ref="K38:K46" si="3">I38*J38</f>
        <v>7740.3846153846152</v>
      </c>
      <c r="L38" s="16" t="s">
        <v>38</v>
      </c>
    </row>
    <row r="39" spans="1:12" x14ac:dyDescent="0.2">
      <c r="A39" s="3" t="s">
        <v>32</v>
      </c>
      <c r="E39" s="3" t="s">
        <v>39</v>
      </c>
      <c r="I39" s="34">
        <v>80</v>
      </c>
      <c r="J39" s="11">
        <f>VLOOKUP(A39,'Menu List'!$A$3:$B$5,2,0)</f>
        <v>49.759615384615387</v>
      </c>
      <c r="K39" s="11">
        <f t="shared" si="3"/>
        <v>3980.7692307692309</v>
      </c>
      <c r="L39" s="16" t="s">
        <v>38</v>
      </c>
    </row>
    <row r="40" spans="1:12" x14ac:dyDescent="0.2">
      <c r="A40" s="3" t="s">
        <v>32</v>
      </c>
      <c r="E40" s="3" t="s">
        <v>40</v>
      </c>
      <c r="I40" s="34">
        <v>0</v>
      </c>
      <c r="J40" s="11">
        <f>VLOOKUP(A40,'Menu List'!$A$3:$B$5,2,0)</f>
        <v>49.759615384615387</v>
      </c>
      <c r="K40" s="11">
        <f t="shared" si="3"/>
        <v>0</v>
      </c>
    </row>
    <row r="41" spans="1:12" x14ac:dyDescent="0.2">
      <c r="A41" s="3" t="s">
        <v>32</v>
      </c>
      <c r="E41" s="3" t="s">
        <v>41</v>
      </c>
      <c r="I41" s="34">
        <v>120</v>
      </c>
      <c r="J41" s="11">
        <f>VLOOKUP(A41,'Menu List'!$A$3:$B$5,2,0)</f>
        <v>49.759615384615387</v>
      </c>
      <c r="K41" s="11">
        <f t="shared" si="3"/>
        <v>5971.1538461538466</v>
      </c>
    </row>
    <row r="42" spans="1:12" x14ac:dyDescent="0.2">
      <c r="E42" s="3" t="s">
        <v>42</v>
      </c>
      <c r="I42" s="34">
        <v>1</v>
      </c>
      <c r="J42" s="11">
        <f>J13</f>
        <v>31250</v>
      </c>
      <c r="K42" s="11">
        <f t="shared" si="3"/>
        <v>31250</v>
      </c>
    </row>
    <row r="43" spans="1:12" x14ac:dyDescent="0.2">
      <c r="A43" s="3" t="s">
        <v>36</v>
      </c>
      <c r="E43" s="3" t="s">
        <v>43</v>
      </c>
      <c r="I43" s="34">
        <v>2</v>
      </c>
      <c r="J43" s="11">
        <f>VLOOKUP(A43,'Menu List'!$A$3:$B$5,2,0)</f>
        <v>96.754807692307693</v>
      </c>
      <c r="K43" s="11">
        <f t="shared" si="3"/>
        <v>193.50961538461539</v>
      </c>
    </row>
    <row r="44" spans="1:12" x14ac:dyDescent="0.2">
      <c r="A44" s="3" t="s">
        <v>32</v>
      </c>
      <c r="E44" s="3" t="s">
        <v>44</v>
      </c>
      <c r="I44" s="34">
        <v>4</v>
      </c>
      <c r="J44" s="11">
        <f>VLOOKUP(A44,'Menu List'!$A$3:$B$5,2,0)</f>
        <v>49.759615384615387</v>
      </c>
      <c r="K44" s="11">
        <f t="shared" si="3"/>
        <v>199.03846153846155</v>
      </c>
    </row>
    <row r="45" spans="1:12" x14ac:dyDescent="0.2">
      <c r="A45" s="3" t="s">
        <v>32</v>
      </c>
      <c r="E45" s="3" t="s">
        <v>45</v>
      </c>
      <c r="I45" s="34">
        <v>1</v>
      </c>
      <c r="J45" s="11">
        <f>VLOOKUP(A45,'Menu List'!$A$3:$B$5,2,0)</f>
        <v>49.759615384615387</v>
      </c>
      <c r="K45" s="11">
        <f t="shared" si="3"/>
        <v>49.759615384615387</v>
      </c>
    </row>
    <row r="46" spans="1:12" x14ac:dyDescent="0.2">
      <c r="E46" s="3" t="s">
        <v>46</v>
      </c>
      <c r="I46" s="34">
        <v>1</v>
      </c>
      <c r="J46" s="11">
        <f>J14</f>
        <v>500</v>
      </c>
      <c r="K46" s="11">
        <f t="shared" si="3"/>
        <v>500</v>
      </c>
    </row>
    <row r="47" spans="1:12" s="4" customFormat="1" x14ac:dyDescent="0.2">
      <c r="D47" s="4" t="s">
        <v>47</v>
      </c>
      <c r="I47" s="9">
        <f>SUM(I38:I46)</f>
        <v>289</v>
      </c>
      <c r="J47" s="9"/>
      <c r="K47" s="12">
        <f>SUM(K38:K46)</f>
        <v>49884.615384615383</v>
      </c>
    </row>
    <row r="48" spans="1:12" x14ac:dyDescent="0.2">
      <c r="I48" s="10"/>
      <c r="J48" s="10"/>
      <c r="K48" s="10"/>
    </row>
    <row r="49" spans="1:11" s="4" customFormat="1" x14ac:dyDescent="0.2">
      <c r="C49" s="4" t="s">
        <v>48</v>
      </c>
      <c r="I49" s="9"/>
      <c r="J49" s="9"/>
      <c r="K49" s="9"/>
    </row>
    <row r="50" spans="1:11" s="4" customFormat="1" x14ac:dyDescent="0.2">
      <c r="D50" s="4" t="s">
        <v>49</v>
      </c>
      <c r="I50" s="9"/>
      <c r="J50" s="9"/>
      <c r="K50" s="9"/>
    </row>
    <row r="51" spans="1:11" x14ac:dyDescent="0.2">
      <c r="A51" s="3" t="s">
        <v>36</v>
      </c>
      <c r="E51" s="3" t="s">
        <v>50</v>
      </c>
      <c r="I51" s="34">
        <v>25</v>
      </c>
      <c r="J51" s="11">
        <f>VLOOKUP(A51,'Menu List'!$A$3:$B$5,2,0)</f>
        <v>96.754807692307693</v>
      </c>
      <c r="K51" s="11">
        <f>I51*J51</f>
        <v>2418.8701923076924</v>
      </c>
    </row>
    <row r="52" spans="1:11" x14ac:dyDescent="0.2">
      <c r="A52" s="3" t="s">
        <v>36</v>
      </c>
      <c r="E52" s="3" t="s">
        <v>51</v>
      </c>
      <c r="I52" s="34">
        <v>8</v>
      </c>
      <c r="J52" s="11">
        <f>VLOOKUP(A52,'Menu List'!$A$3:$B$5,2,0)</f>
        <v>96.754807692307693</v>
      </c>
      <c r="K52" s="11">
        <f>I52*J52</f>
        <v>774.03846153846155</v>
      </c>
    </row>
    <row r="53" spans="1:11" x14ac:dyDescent="0.2">
      <c r="E53" s="3" t="s">
        <v>52</v>
      </c>
      <c r="I53" s="34">
        <v>1</v>
      </c>
      <c r="J53" s="11">
        <v>150</v>
      </c>
      <c r="K53" s="11">
        <f>I53*J53</f>
        <v>150</v>
      </c>
    </row>
    <row r="54" spans="1:11" x14ac:dyDescent="0.2">
      <c r="A54" s="3" t="s">
        <v>1</v>
      </c>
      <c r="E54" s="3" t="s">
        <v>53</v>
      </c>
      <c r="I54" s="34">
        <v>80</v>
      </c>
      <c r="J54" s="11">
        <f>VLOOKUP(A54,'Menu List'!$A$3:$B$5,2,0)</f>
        <v>69.11057692307692</v>
      </c>
      <c r="K54" s="11">
        <f>I54*J54</f>
        <v>5528.8461538461534</v>
      </c>
    </row>
    <row r="55" spans="1:11" s="4" customFormat="1" x14ac:dyDescent="0.2">
      <c r="D55" s="4" t="s">
        <v>54</v>
      </c>
      <c r="I55" s="9">
        <f>SUM(I51:I54)</f>
        <v>114</v>
      </c>
      <c r="J55" s="9"/>
      <c r="K55" s="12">
        <f>SUM(K51:K54)</f>
        <v>8871.7548076923067</v>
      </c>
    </row>
    <row r="56" spans="1:11" x14ac:dyDescent="0.2">
      <c r="I56" s="10"/>
      <c r="J56" s="10"/>
      <c r="K56" s="10"/>
    </row>
    <row r="57" spans="1:11" s="4" customFormat="1" x14ac:dyDescent="0.2">
      <c r="C57" s="19" t="s">
        <v>55</v>
      </c>
      <c r="D57" s="19"/>
      <c r="E57" s="19"/>
      <c r="F57" s="19"/>
      <c r="G57" s="19"/>
      <c r="H57" s="19"/>
      <c r="I57" s="33">
        <f>I35+I47+I55</f>
        <v>411</v>
      </c>
      <c r="J57" s="19"/>
      <c r="K57" s="20">
        <f>K35+K47+K55</f>
        <v>59154.44711538461</v>
      </c>
    </row>
    <row r="59" spans="1:11" x14ac:dyDescent="0.2">
      <c r="C59" s="3" t="s">
        <v>56</v>
      </c>
    </row>
    <row r="60" spans="1:11" x14ac:dyDescent="0.2">
      <c r="C60" s="3" t="s">
        <v>30</v>
      </c>
    </row>
    <row r="61" spans="1:11" x14ac:dyDescent="0.2">
      <c r="A61" s="3" t="s">
        <v>1</v>
      </c>
      <c r="D61" s="3" t="s">
        <v>57</v>
      </c>
      <c r="I61" s="34">
        <v>120</v>
      </c>
      <c r="J61" s="11">
        <f>VLOOKUP(A61,'Menu List'!$A$3:$B$5,2,0)</f>
        <v>69.11057692307692</v>
      </c>
      <c r="K61" s="11">
        <f t="shared" ref="K61:K64" si="4">I61*J61</f>
        <v>8293.2692307692305</v>
      </c>
    </row>
    <row r="62" spans="1:11" x14ac:dyDescent="0.2">
      <c r="A62" s="3" t="s">
        <v>32</v>
      </c>
      <c r="D62" s="3" t="s">
        <v>58</v>
      </c>
      <c r="I62" s="34">
        <v>40</v>
      </c>
      <c r="J62" s="11">
        <f>VLOOKUP(A62,'Menu List'!$A$3:$B$5,2,0)</f>
        <v>49.759615384615387</v>
      </c>
      <c r="K62" s="11">
        <f t="shared" si="4"/>
        <v>1990.3846153846155</v>
      </c>
    </row>
    <row r="63" spans="1:11" x14ac:dyDescent="0.2">
      <c r="A63" s="3" t="s">
        <v>32</v>
      </c>
      <c r="D63" s="3" t="s">
        <v>59</v>
      </c>
      <c r="I63" s="34">
        <v>80</v>
      </c>
      <c r="J63" s="11">
        <f>VLOOKUP(A63,'Menu List'!$A$3:$B$5,2,0)</f>
        <v>49.759615384615387</v>
      </c>
      <c r="K63" s="11">
        <f t="shared" si="4"/>
        <v>3980.7692307692309</v>
      </c>
    </row>
    <row r="64" spans="1:11" x14ac:dyDescent="0.2">
      <c r="A64" s="3" t="s">
        <v>36</v>
      </c>
      <c r="D64" s="3" t="s">
        <v>60</v>
      </c>
      <c r="I64" s="34">
        <v>40</v>
      </c>
      <c r="J64" s="11">
        <f>VLOOKUP(A64,'Menu List'!$A$3:$B$5,2,0)</f>
        <v>96.754807692307693</v>
      </c>
      <c r="K64" s="11">
        <f t="shared" si="4"/>
        <v>3870.1923076923076</v>
      </c>
    </row>
    <row r="65" spans="1:12" s="4" customFormat="1" x14ac:dyDescent="0.2">
      <c r="C65" s="4" t="s">
        <v>61</v>
      </c>
      <c r="I65" s="9">
        <f>SUM(I61:I64)</f>
        <v>280</v>
      </c>
      <c r="K65" s="14">
        <f>SUM(K61:K64)</f>
        <v>18134.615384615383</v>
      </c>
    </row>
    <row r="66" spans="1:12" x14ac:dyDescent="0.2">
      <c r="I66" s="10"/>
    </row>
    <row r="67" spans="1:12" x14ac:dyDescent="0.2">
      <c r="C67" s="3" t="s">
        <v>62</v>
      </c>
      <c r="I67" s="10"/>
    </row>
    <row r="68" spans="1:12" x14ac:dyDescent="0.2">
      <c r="A68" s="3" t="s">
        <v>1</v>
      </c>
      <c r="D68" s="3" t="s">
        <v>63</v>
      </c>
      <c r="I68" s="34">
        <v>120</v>
      </c>
      <c r="J68" s="11">
        <f>VLOOKUP(A68,'Menu List'!$A$3:$B$5,2,0)</f>
        <v>69.11057692307692</v>
      </c>
      <c r="K68" s="11">
        <f t="shared" ref="K68:K73" si="5">I68*J68</f>
        <v>8293.2692307692305</v>
      </c>
    </row>
    <row r="69" spans="1:12" x14ac:dyDescent="0.2">
      <c r="A69" s="3" t="s">
        <v>1</v>
      </c>
      <c r="D69" s="3" t="s">
        <v>64</v>
      </c>
      <c r="I69" s="34">
        <v>40</v>
      </c>
      <c r="J69" s="11">
        <f>VLOOKUP(A69,'Menu List'!$A$3:$B$5,2,0)</f>
        <v>69.11057692307692</v>
      </c>
      <c r="K69" s="11">
        <f t="shared" si="5"/>
        <v>2764.4230769230767</v>
      </c>
    </row>
    <row r="70" spans="1:12" x14ac:dyDescent="0.2">
      <c r="A70" s="3" t="s">
        <v>1</v>
      </c>
      <c r="D70" s="3" t="s">
        <v>65</v>
      </c>
      <c r="I70" s="34">
        <v>40</v>
      </c>
      <c r="J70" s="11">
        <f>VLOOKUP(A70,'Menu List'!$A$3:$B$5,2,0)</f>
        <v>69.11057692307692</v>
      </c>
      <c r="K70" s="11">
        <f t="shared" si="5"/>
        <v>2764.4230769230767</v>
      </c>
    </row>
    <row r="71" spans="1:12" x14ac:dyDescent="0.2">
      <c r="A71" s="3" t="s">
        <v>36</v>
      </c>
      <c r="D71" s="3" t="s">
        <v>66</v>
      </c>
      <c r="I71" s="34">
        <v>40</v>
      </c>
      <c r="J71" s="11">
        <f>VLOOKUP(A71,'Menu List'!$A$3:$B$5,2,0)</f>
        <v>96.754807692307693</v>
      </c>
      <c r="K71" s="11">
        <f t="shared" si="5"/>
        <v>3870.1923076923076</v>
      </c>
    </row>
    <row r="72" spans="1:12" x14ac:dyDescent="0.2">
      <c r="A72" s="3" t="s">
        <v>32</v>
      </c>
      <c r="D72" s="3" t="s">
        <v>67</v>
      </c>
      <c r="I72" s="34">
        <v>20</v>
      </c>
      <c r="J72" s="11">
        <f>VLOOKUP(A72,'Menu List'!$A$3:$B$5,2,0)</f>
        <v>49.759615384615387</v>
      </c>
      <c r="K72" s="11">
        <f t="shared" si="5"/>
        <v>995.19230769230774</v>
      </c>
    </row>
    <row r="73" spans="1:12" x14ac:dyDescent="0.2">
      <c r="A73" s="3" t="s">
        <v>36</v>
      </c>
      <c r="D73" s="3" t="s">
        <v>68</v>
      </c>
      <c r="I73" s="34">
        <v>40</v>
      </c>
      <c r="J73" s="11">
        <f>VLOOKUP(A73,'Menu List'!$A$3:$B$5,2,0)</f>
        <v>96.754807692307693</v>
      </c>
      <c r="K73" s="11">
        <f t="shared" si="5"/>
        <v>3870.1923076923076</v>
      </c>
    </row>
    <row r="74" spans="1:12" s="4" customFormat="1" x14ac:dyDescent="0.2">
      <c r="C74" s="4" t="s">
        <v>69</v>
      </c>
      <c r="I74" s="9">
        <f>SUM(I68:I73)</f>
        <v>300</v>
      </c>
      <c r="K74" s="14">
        <f>SUM(K68:K73)</f>
        <v>22557.692307692309</v>
      </c>
    </row>
    <row r="75" spans="1:12" x14ac:dyDescent="0.2">
      <c r="I75" s="10"/>
    </row>
    <row r="76" spans="1:12" x14ac:dyDescent="0.2">
      <c r="C76" s="3" t="s">
        <v>70</v>
      </c>
      <c r="I76" s="10"/>
    </row>
    <row r="77" spans="1:12" x14ac:dyDescent="0.2">
      <c r="A77" s="3" t="s">
        <v>1</v>
      </c>
      <c r="D77" s="3" t="s">
        <v>71</v>
      </c>
      <c r="I77" s="34">
        <v>80</v>
      </c>
      <c r="J77" s="11">
        <f>VLOOKUP(A77,'Menu List'!$A$3:$B$5,2,0)</f>
        <v>69.11057692307692</v>
      </c>
      <c r="K77" s="11">
        <f t="shared" ref="K77:K81" si="6">I77*J77</f>
        <v>5528.8461538461534</v>
      </c>
      <c r="L77" s="16" t="s">
        <v>72</v>
      </c>
    </row>
    <row r="78" spans="1:12" x14ac:dyDescent="0.2">
      <c r="A78" s="3" t="s">
        <v>32</v>
      </c>
      <c r="D78" s="3" t="s">
        <v>73</v>
      </c>
      <c r="I78" s="34">
        <v>120</v>
      </c>
      <c r="J78" s="11">
        <f>VLOOKUP(A78,'Menu List'!$A$3:$B$5,2,0)</f>
        <v>49.759615384615387</v>
      </c>
      <c r="K78" s="11">
        <f t="shared" si="6"/>
        <v>5971.1538461538466</v>
      </c>
      <c r="L78" s="16" t="s">
        <v>72</v>
      </c>
    </row>
    <row r="79" spans="1:12" x14ac:dyDescent="0.2">
      <c r="A79" s="3" t="s">
        <v>32</v>
      </c>
      <c r="D79" s="3" t="s">
        <v>74</v>
      </c>
      <c r="I79" s="34">
        <v>80</v>
      </c>
      <c r="J79" s="11">
        <f>VLOOKUP(A79,'Menu List'!$A$3:$B$5,2,0)</f>
        <v>49.759615384615387</v>
      </c>
      <c r="K79" s="11">
        <f t="shared" si="6"/>
        <v>3980.7692307692309</v>
      </c>
      <c r="L79" s="16" t="s">
        <v>72</v>
      </c>
    </row>
    <row r="80" spans="1:12" x14ac:dyDescent="0.2">
      <c r="A80" s="3" t="s">
        <v>32</v>
      </c>
      <c r="D80" s="3" t="s">
        <v>75</v>
      </c>
      <c r="I80" s="34">
        <v>10</v>
      </c>
      <c r="J80" s="11">
        <f>VLOOKUP(A80,'Menu List'!$A$3:$B$5,2,0)</f>
        <v>49.759615384615387</v>
      </c>
      <c r="K80" s="11">
        <f t="shared" si="6"/>
        <v>497.59615384615387</v>
      </c>
      <c r="L80" s="16" t="s">
        <v>72</v>
      </c>
    </row>
    <row r="81" spans="1:12" x14ac:dyDescent="0.2">
      <c r="A81" s="3" t="s">
        <v>36</v>
      </c>
      <c r="D81" s="3" t="s">
        <v>60</v>
      </c>
      <c r="I81" s="34">
        <v>120</v>
      </c>
      <c r="J81" s="11">
        <f>VLOOKUP(A81,'Menu List'!$A$3:$B$5,2,0)</f>
        <v>96.754807692307693</v>
      </c>
      <c r="K81" s="11">
        <f t="shared" si="6"/>
        <v>11610.576923076924</v>
      </c>
      <c r="L81" s="16" t="s">
        <v>72</v>
      </c>
    </row>
    <row r="82" spans="1:12" s="4" customFormat="1" x14ac:dyDescent="0.2">
      <c r="C82" s="4" t="s">
        <v>76</v>
      </c>
      <c r="I82" s="9">
        <f>SUM(I77:I81)</f>
        <v>410</v>
      </c>
      <c r="K82" s="14">
        <f>SUM(K77:K81)</f>
        <v>27588.942307692309</v>
      </c>
    </row>
    <row r="84" spans="1:12" s="4" customFormat="1" x14ac:dyDescent="0.2">
      <c r="C84" s="19" t="s">
        <v>77</v>
      </c>
      <c r="D84" s="19"/>
      <c r="E84" s="19"/>
      <c r="F84" s="19"/>
      <c r="G84" s="19"/>
      <c r="H84" s="19"/>
      <c r="I84" s="33">
        <f>I65+I74+I82</f>
        <v>990</v>
      </c>
      <c r="J84" s="19"/>
      <c r="K84" s="20">
        <f>K65+K74+K82</f>
        <v>68281.25</v>
      </c>
    </row>
    <row r="86" spans="1:12" x14ac:dyDescent="0.2">
      <c r="C86" s="16" t="s">
        <v>78</v>
      </c>
    </row>
  </sheetData>
  <sheetProtection algorithmName="SHA-512" hashValue="ahp9mQ4RgUDBQenSIFw932+4fMp3MU4TVosa4SinuVDc+Tbl33Ncf7YOYSRt4E0G5QkhP1VHYz/M5+4kHWQFPg==" saltValue="8qln/9NCOmA1wyMY3ezvPw==" spinCount="100000" sheet="1" objects="1" scenarios="1" selectLockedCells="1"/>
  <mergeCells count="5">
    <mergeCell ref="J27:K27"/>
    <mergeCell ref="C17:K17"/>
    <mergeCell ref="C24:K24"/>
    <mergeCell ref="J25:K25"/>
    <mergeCell ref="J26:K26"/>
  </mergeCells>
  <phoneticPr fontId="0" type="noConversion"/>
  <dataValidations count="1">
    <dataValidation type="list" allowBlank="1" showInputMessage="1" showErrorMessage="1" sqref="I13:I14" xr:uid="{B61C185A-D7F3-49A1-B9AF-B58B4A0D5B5C}">
      <formula1>YesNo</formula1>
    </dataValidation>
  </dataValidations>
  <pageMargins left="0.75" right="0.75" top="1" bottom="1" header="0.5" footer="0.5"/>
  <pageSetup scale="83" orientation="portrait" r:id="rId1"/>
  <headerFooter alignWithMargins="0"/>
  <ignoredErrors>
    <ignoredError sqref="J4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BB510-3CF5-4952-99F0-7877AE8A9F28}">
  <sheetPr>
    <tabColor rgb="FFFF0000"/>
  </sheetPr>
  <dimension ref="A3:D5"/>
  <sheetViews>
    <sheetView workbookViewId="0">
      <selection activeCell="D3" sqref="D3:D4"/>
    </sheetView>
  </sheetViews>
  <sheetFormatPr defaultRowHeight="12.75" x14ac:dyDescent="0.2"/>
  <cols>
    <col min="1" max="1" width="22.140625" bestFit="1" customWidth="1"/>
  </cols>
  <sheetData>
    <row r="3" spans="1:4" x14ac:dyDescent="0.2">
      <c r="A3" s="1" t="s">
        <v>1</v>
      </c>
      <c r="B3" s="2">
        <f>'Cost of Turnover'!K19</f>
        <v>69.11057692307692</v>
      </c>
      <c r="D3" s="1" t="s">
        <v>11</v>
      </c>
    </row>
    <row r="4" spans="1:4" x14ac:dyDescent="0.2">
      <c r="A4" s="1" t="s">
        <v>36</v>
      </c>
      <c r="B4" s="2">
        <f>'Cost of Turnover'!K20</f>
        <v>96.754807692307693</v>
      </c>
      <c r="D4" s="1" t="s">
        <v>79</v>
      </c>
    </row>
    <row r="5" spans="1:4" x14ac:dyDescent="0.2">
      <c r="A5" s="1" t="s">
        <v>32</v>
      </c>
      <c r="B5" s="2">
        <f>'Cost of Turnover'!K21</f>
        <v>49.759615384615387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9fceae7-18bf-4ed7-a98e-34289f8a7bb8" xsi:nil="true"/>
    <lcf76f155ced4ddcb4097134ff3c332f xmlns="5e88ae76-4eb9-41e9-932e-04b57e02d50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70A1C66F4C744C8F5EC2661F50BBED" ma:contentTypeVersion="19" ma:contentTypeDescription="Create a new document." ma:contentTypeScope="" ma:versionID="e5f43a005675104bbd3f555d51c907ea">
  <xsd:schema xmlns:xsd="http://www.w3.org/2001/XMLSchema" xmlns:xs="http://www.w3.org/2001/XMLSchema" xmlns:p="http://schemas.microsoft.com/office/2006/metadata/properties" xmlns:ns2="09fceae7-18bf-4ed7-a98e-34289f8a7bb8" xmlns:ns3="5e88ae76-4eb9-41e9-932e-04b57e02d50c" targetNamespace="http://schemas.microsoft.com/office/2006/metadata/properties" ma:root="true" ma:fieldsID="c8b503f6c4ab1a2ef7797f5dc0469189" ns2:_="" ns3:_="">
    <xsd:import namespace="09fceae7-18bf-4ed7-a98e-34289f8a7bb8"/>
    <xsd:import namespace="5e88ae76-4eb9-41e9-932e-04b57e02d50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fceae7-18bf-4ed7-a98e-34289f8a7b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2add56cc-1e3a-4f7e-88a7-b749847dd0e3}" ma:internalName="TaxCatchAll" ma:showField="CatchAllData" ma:web="09fceae7-18bf-4ed7-a98e-34289f8a7b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88ae76-4eb9-41e9-932e-04b57e02d5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5c157925-c6a8-41e2-897c-5818bac06e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E33CF0-EF38-4B78-AE28-9377B75F6FD3}">
  <ds:schemaRefs>
    <ds:schemaRef ds:uri="http://schemas.microsoft.com/office/2006/metadata/properties"/>
    <ds:schemaRef ds:uri="http://schemas.microsoft.com/office/infopath/2007/PartnerControls"/>
    <ds:schemaRef ds:uri="09fceae7-18bf-4ed7-a98e-34289f8a7bb8"/>
    <ds:schemaRef ds:uri="5e88ae76-4eb9-41e9-932e-04b57e02d50c"/>
  </ds:schemaRefs>
</ds:datastoreItem>
</file>

<file path=customXml/itemProps2.xml><?xml version="1.0" encoding="utf-8"?>
<ds:datastoreItem xmlns:ds="http://schemas.openxmlformats.org/officeDocument/2006/customXml" ds:itemID="{ACBE1772-8846-4745-BDE0-EF1769DBD0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fceae7-18bf-4ed7-a98e-34289f8a7bb8"/>
    <ds:schemaRef ds:uri="5e88ae76-4eb9-41e9-932e-04b57e02d5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2ABFC9-7B76-448B-97B9-41FB1EA237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Cost of Turnover</vt:lpstr>
      <vt:lpstr>Menu List</vt:lpstr>
      <vt:lpstr>YesNo</vt:lpstr>
      <vt:lpstr>YN</vt:lpstr>
    </vt:vector>
  </TitlesOfParts>
  <Manager/>
  <Company>shrm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Dlacy</dc:creator>
  <cp:keywords/>
  <dc:description/>
  <cp:lastModifiedBy>Joseph Saig</cp:lastModifiedBy>
  <cp:revision/>
  <dcterms:created xsi:type="dcterms:W3CDTF">2004-02-29T18:14:05Z</dcterms:created>
  <dcterms:modified xsi:type="dcterms:W3CDTF">2023-10-10T20:20:34Z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0x0101004970A1C66F4C744C8F5EC2661F50BBED</vt:lpwstr>
  </property>
  <property fmtid="{D5CDD505-2E9C-101B-9397-08002B2CF9AE}" pid="3" name="MediaServiceImageTags">
    <vt:lpwstr/>
  </property>
</Properties>
</file>